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995" windowHeight="7365" activeTab="1"/>
  </bookViews>
  <sheets>
    <sheet name="1 кв 2023" sheetId="1" r:id="rId1"/>
    <sheet name="1 полугодие 2023 " sheetId="2" r:id="rId2"/>
  </sheets>
  <definedNames/>
  <calcPr fullCalcOnLoad="1" refMode="R1C1"/>
</workbook>
</file>

<file path=xl/sharedStrings.xml><?xml version="1.0" encoding="utf-8"?>
<sst xmlns="http://schemas.openxmlformats.org/spreadsheetml/2006/main" count="88" uniqueCount="47">
  <si>
    <t>(тыс.тенге)</t>
  </si>
  <si>
    <t>Наименование показателя</t>
  </si>
  <si>
    <t>Обучение персоналов</t>
  </si>
  <si>
    <t>Услуги связи</t>
  </si>
  <si>
    <t>Платные услуги</t>
  </si>
  <si>
    <t xml:space="preserve">Главный бухгалтер                                            </t>
  </si>
  <si>
    <t>Расходы по фонду оплаты труда</t>
  </si>
  <si>
    <t>Коммунальные расходы</t>
  </si>
  <si>
    <t>ОСМС (Обязательные социальные медицинские отчисления)</t>
  </si>
  <si>
    <t>Приобретения медикаментов</t>
  </si>
  <si>
    <t>Соц.налог и соц.отчисления</t>
  </si>
  <si>
    <t>Местный бюджет</t>
  </si>
  <si>
    <t>Средства ФСМС</t>
  </si>
  <si>
    <t>Кассовые расходы</t>
  </si>
  <si>
    <t>Итого доходов:</t>
  </si>
  <si>
    <t>ДОХОДЫ:</t>
  </si>
  <si>
    <t>РАСХОДЫ:</t>
  </si>
  <si>
    <t>Итого расходов:</t>
  </si>
  <si>
    <t xml:space="preserve">Остаток средств на начало периода </t>
  </si>
  <si>
    <t xml:space="preserve">Остаток средств на  конец  периода </t>
  </si>
  <si>
    <t>Приобретение хозяйственных товаров и инвентаря в том числе:</t>
  </si>
  <si>
    <t>моющие средства</t>
  </si>
  <si>
    <t>канц.товары</t>
  </si>
  <si>
    <t>бланочная продукция</t>
  </si>
  <si>
    <t>хоз.товары</t>
  </si>
  <si>
    <t>прочие товары</t>
  </si>
  <si>
    <t>Выплата ОППВ 5%</t>
  </si>
  <si>
    <t>Страхование ГПО работодателя</t>
  </si>
  <si>
    <t>План  на отчетный период</t>
  </si>
  <si>
    <t>Приобретения основных средств, оборудования</t>
  </si>
  <si>
    <t>Налог на землю, на имущество, транспорт</t>
  </si>
  <si>
    <t>Турысбекова Г.</t>
  </si>
  <si>
    <t>КГП на ПХВ "Городская  поликлиника №6" УОЗ г.Алматы</t>
  </si>
  <si>
    <t>Отчисления от чистого дохода -5 %</t>
  </si>
  <si>
    <t>Расходы на питание (детское питание)</t>
  </si>
  <si>
    <t>План  на отчетный период годовой</t>
  </si>
  <si>
    <t>Командировочные расходы</t>
  </si>
  <si>
    <t>Прочие услуги и работы (тех.ремонт медоборудования,медицинские услуги,автотранспортные услуги,дератизация и дезинфекция, охрана объекта,аудиторские услуги,услуги стирки,обслуживание систем отопления, вывоз мусора и т.д.)</t>
  </si>
  <si>
    <t>ФКУ - спец.продукты питания для детей с диагнозом Фенилкетонурия</t>
  </si>
  <si>
    <t>Кассовое поступление за 1 кв   2023 год</t>
  </si>
  <si>
    <t xml:space="preserve">ОТЧЕТ О ДОХОДАХ И РАСХОДАХ за  1 квартал 2023 года </t>
  </si>
  <si>
    <t xml:space="preserve">И.о.главного врача                 </t>
  </si>
  <si>
    <t>Розахунова Р.Ж.</t>
  </si>
  <si>
    <t xml:space="preserve">ОТЧЕТ О ДОХОДАХ И РАСХОДАХ за  1 полугодие 2023 года </t>
  </si>
  <si>
    <t>Кассовое поступление за 1 полугодие   2023 год</t>
  </si>
  <si>
    <t>Директор</t>
  </si>
  <si>
    <t>Ускенбаева А.С.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</si>
</sst>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₽&quot;#,##0;\-&quot;₽&quot;#,##0"/>
    <numFmt numFmtId="181" formatCode="&quot;₽&quot;#,##0;[Red]\-&quot;₽&quot;#,##0"/>
    <numFmt numFmtId="182" formatCode="&quot;₽&quot;#,##0.00;\-&quot;₽&quot;#,##0.00"/>
    <numFmt numFmtId="183" formatCode="&quot;₽&quot;#,##0.00;[Red]\-&quot;₽&quot;#,##0.00"/>
    <numFmt numFmtId="184" formatCode="_-&quot;₽&quot;* #,##0_-;\-&quot;₽&quot;* #,##0_-;_-&quot;₽&quot;* &quot;-&quot;_-;_-@_-"/>
    <numFmt numFmtId="185" formatCode="_-&quot;₽&quot;* #,##0.00_-;\-&quot;₽&quot;* #,##0.00_-;_-&quot;₽&quot;* &quot;-&quot;??_-;_-@_-"/>
    <numFmt numFmtId="186" formatCode="0.0"/>
    <numFmt numFmtId="187" formatCode="0.000"/>
    <numFmt numFmtId="188" formatCode="#,##0.000"/>
    <numFmt numFmtId="189" formatCode="#,##0.0"/>
    <numFmt numFmtId="190" formatCode="0.00000"/>
    <numFmt numFmtId="191" formatCode="0.0000"/>
    <numFmt numFmtId="192" formatCode="0.000000"/>
    <numFmt numFmtId="193" formatCode="#,##0.00_ ;[Red]\-#,##0.00\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_-* #,##0.00\ _р_._-;\-* #,##0.00\ _р_._-;_-* &quot;-&quot;??\ _р_._-;_-@_-"/>
    <numFmt numFmtId="199" formatCode="#,##0.00_ ;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6" fillId="33" borderId="0" xfId="0" applyFont="1" applyFill="1" applyAlignment="1">
      <alignment/>
    </xf>
    <xf numFmtId="0" fontId="46" fillId="33" borderId="0" xfId="0" applyFont="1" applyFill="1" applyAlignment="1">
      <alignment vertical="center"/>
    </xf>
    <xf numFmtId="4" fontId="46" fillId="33" borderId="0" xfId="0" applyNumberFormat="1" applyFont="1" applyFill="1" applyAlignment="1">
      <alignment vertical="center"/>
    </xf>
    <xf numFmtId="0" fontId="47" fillId="33" borderId="0" xfId="0" applyFont="1" applyFill="1" applyAlignment="1">
      <alignment vertical="center"/>
    </xf>
    <xf numFmtId="0" fontId="47" fillId="33" borderId="0" xfId="0" applyFont="1" applyFill="1" applyAlignment="1">
      <alignment/>
    </xf>
    <xf numFmtId="4" fontId="46" fillId="33" borderId="0" xfId="0" applyNumberFormat="1" applyFont="1" applyFill="1" applyAlignment="1">
      <alignment/>
    </xf>
    <xf numFmtId="0" fontId="46" fillId="33" borderId="0" xfId="0" applyFont="1" applyFill="1" applyBorder="1" applyAlignment="1">
      <alignment vertical="center" wrapText="1"/>
    </xf>
    <xf numFmtId="0" fontId="48" fillId="33" borderId="0" xfId="0" applyFont="1" applyFill="1" applyAlignment="1">
      <alignment vertical="center"/>
    </xf>
    <xf numFmtId="4" fontId="47" fillId="33" borderId="0" xfId="0" applyNumberFormat="1" applyFont="1" applyFill="1" applyAlignment="1">
      <alignment/>
    </xf>
    <xf numFmtId="4" fontId="47" fillId="33" borderId="0" xfId="0" applyNumberFormat="1" applyFont="1" applyFill="1" applyBorder="1" applyAlignment="1">
      <alignment horizontal="right" vertical="center"/>
    </xf>
    <xf numFmtId="4" fontId="46" fillId="33" borderId="0" xfId="0" applyNumberFormat="1" applyFont="1" applyFill="1" applyAlignment="1">
      <alignment horizontal="center" vertical="center"/>
    </xf>
    <xf numFmtId="4" fontId="47" fillId="33" borderId="0" xfId="0" applyNumberFormat="1" applyFont="1" applyFill="1" applyAlignment="1">
      <alignment horizontal="center" vertical="center"/>
    </xf>
    <xf numFmtId="4" fontId="46" fillId="33" borderId="0" xfId="0" applyNumberFormat="1" applyFont="1" applyFill="1" applyBorder="1" applyAlignment="1">
      <alignment horizontal="center" vertical="center"/>
    </xf>
    <xf numFmtId="4" fontId="48" fillId="33" borderId="0" xfId="0" applyNumberFormat="1" applyFont="1" applyFill="1" applyAlignment="1">
      <alignment horizontal="center" vertical="center"/>
    </xf>
    <xf numFmtId="4" fontId="47" fillId="33" borderId="0" xfId="0" applyNumberFormat="1" applyFont="1" applyFill="1" applyAlignment="1">
      <alignment horizontal="center"/>
    </xf>
    <xf numFmtId="4" fontId="46" fillId="33" borderId="0" xfId="0" applyNumberFormat="1" applyFont="1" applyFill="1" applyAlignment="1">
      <alignment horizontal="center"/>
    </xf>
    <xf numFmtId="0" fontId="46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right" vertical="top" wrapText="1"/>
    </xf>
    <xf numFmtId="0" fontId="47" fillId="0" borderId="10" xfId="0" applyFont="1" applyFill="1" applyBorder="1" applyAlignment="1">
      <alignment vertical="center" wrapText="1"/>
    </xf>
    <xf numFmtId="4" fontId="47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4" fontId="46" fillId="0" borderId="10" xfId="0" applyNumberFormat="1" applyFont="1" applyFill="1" applyBorder="1" applyAlignment="1">
      <alignment horizontal="right" vertical="center"/>
    </xf>
    <xf numFmtId="0" fontId="46" fillId="0" borderId="10" xfId="0" applyFont="1" applyFill="1" applyBorder="1" applyAlignment="1">
      <alignment horizontal="left" vertical="center" wrapText="1"/>
    </xf>
    <xf numFmtId="4" fontId="46" fillId="0" borderId="10" xfId="0" applyNumberFormat="1" applyFont="1" applyFill="1" applyBorder="1" applyAlignment="1">
      <alignment/>
    </xf>
    <xf numFmtId="4" fontId="46" fillId="0" borderId="10" xfId="0" applyNumberFormat="1" applyFont="1" applyFill="1" applyBorder="1" applyAlignment="1">
      <alignment horizontal="right" vertical="center" wrapText="1"/>
    </xf>
    <xf numFmtId="4" fontId="47" fillId="0" borderId="10" xfId="0" applyNumberFormat="1" applyFont="1" applyFill="1" applyBorder="1" applyAlignment="1">
      <alignment horizontal="right" vertical="center" wrapText="1"/>
    </xf>
    <xf numFmtId="0" fontId="46" fillId="0" borderId="0" xfId="0" applyFont="1" applyFill="1" applyAlignment="1">
      <alignment/>
    </xf>
    <xf numFmtId="4" fontId="46" fillId="0" borderId="0" xfId="0" applyNumberFormat="1" applyFont="1" applyFill="1" applyBorder="1" applyAlignment="1">
      <alignment/>
    </xf>
    <xf numFmtId="0" fontId="46" fillId="0" borderId="0" xfId="0" applyFont="1" applyFill="1" applyBorder="1" applyAlignment="1">
      <alignment/>
    </xf>
    <xf numFmtId="4" fontId="2" fillId="0" borderId="10" xfId="0" applyNumberFormat="1" applyFont="1" applyFill="1" applyBorder="1" applyAlignment="1">
      <alignment vertical="top" wrapText="1"/>
    </xf>
    <xf numFmtId="0" fontId="49" fillId="0" borderId="10" xfId="0" applyFont="1" applyFill="1" applyBorder="1" applyAlignment="1">
      <alignment horizontal="center" vertical="center"/>
    </xf>
    <xf numFmtId="4" fontId="50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4" fontId="46" fillId="0" borderId="0" xfId="0" applyNumberFormat="1" applyFont="1" applyFill="1" applyAlignment="1">
      <alignment/>
    </xf>
    <xf numFmtId="4" fontId="46" fillId="0" borderId="0" xfId="0" applyNumberFormat="1" applyFont="1" applyFill="1" applyBorder="1" applyAlignment="1">
      <alignment horizontal="right" vertical="center"/>
    </xf>
    <xf numFmtId="4" fontId="47" fillId="0" borderId="10" xfId="0" applyNumberFormat="1" applyFont="1" applyFill="1" applyBorder="1" applyAlignment="1">
      <alignment vertical="center"/>
    </xf>
    <xf numFmtId="4" fontId="46" fillId="0" borderId="10" xfId="0" applyNumberFormat="1" applyFont="1" applyFill="1" applyBorder="1" applyAlignment="1">
      <alignment vertical="center"/>
    </xf>
    <xf numFmtId="193" fontId="2" fillId="0" borderId="10" xfId="0" applyNumberFormat="1" applyFont="1" applyFill="1" applyBorder="1" applyAlignment="1">
      <alignment horizontal="right" wrapText="1"/>
    </xf>
    <xf numFmtId="4" fontId="51" fillId="33" borderId="0" xfId="0" applyNumberFormat="1" applyFont="1" applyFill="1" applyAlignment="1">
      <alignment horizontal="right" vertical="center"/>
    </xf>
    <xf numFmtId="4" fontId="50" fillId="33" borderId="10" xfId="0" applyNumberFormat="1" applyFont="1" applyFill="1" applyBorder="1" applyAlignment="1">
      <alignment horizontal="center" vertical="center" wrapText="1"/>
    </xf>
    <xf numFmtId="4" fontId="46" fillId="0" borderId="0" xfId="0" applyNumberFormat="1" applyFont="1" applyFill="1" applyBorder="1" applyAlignment="1">
      <alignment horizontal="center" vertical="center"/>
    </xf>
    <xf numFmtId="4" fontId="48" fillId="0" borderId="0" xfId="0" applyNumberFormat="1" applyFont="1" applyFill="1" applyAlignment="1">
      <alignment horizontal="center" vertical="center"/>
    </xf>
    <xf numFmtId="4" fontId="46" fillId="0" borderId="0" xfId="0" applyNumberFormat="1" applyFont="1" applyFill="1" applyAlignment="1">
      <alignment vertical="center"/>
    </xf>
    <xf numFmtId="193" fontId="46" fillId="33" borderId="0" xfId="0" applyNumberFormat="1" applyFont="1" applyFill="1" applyAlignment="1">
      <alignment/>
    </xf>
    <xf numFmtId="4" fontId="46" fillId="0" borderId="0" xfId="0" applyNumberFormat="1" applyFont="1" applyFill="1" applyBorder="1" applyAlignment="1">
      <alignment vertical="center"/>
    </xf>
    <xf numFmtId="0" fontId="2" fillId="0" borderId="10" xfId="0" applyFont="1" applyBorder="1" applyAlignment="1">
      <alignment vertical="top" wrapText="1"/>
    </xf>
    <xf numFmtId="4" fontId="48" fillId="0" borderId="0" xfId="0" applyNumberFormat="1" applyFont="1" applyFill="1" applyAlignment="1">
      <alignment horizontal="center" vertical="center"/>
    </xf>
    <xf numFmtId="4" fontId="48" fillId="33" borderId="0" xfId="0" applyNumberFormat="1" applyFont="1" applyFill="1" applyAlignment="1">
      <alignment horizontal="center" vertical="center"/>
    </xf>
    <xf numFmtId="4" fontId="47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193" fontId="46" fillId="0" borderId="0" xfId="0" applyNumberFormat="1" applyFont="1" applyFill="1" applyAlignment="1">
      <alignment/>
    </xf>
    <xf numFmtId="0" fontId="49" fillId="33" borderId="0" xfId="0" applyFont="1" applyFill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4" fontId="48" fillId="0" borderId="0" xfId="0" applyNumberFormat="1" applyFont="1" applyFill="1" applyAlignment="1">
      <alignment horizontal="center" vertical="center"/>
    </xf>
    <xf numFmtId="4" fontId="48" fillId="33" borderId="0" xfId="0" applyNumberFormat="1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49"/>
  <sheetViews>
    <sheetView zoomScalePageLayoutView="0" workbookViewId="0" topLeftCell="A16">
      <selection activeCell="B2" sqref="B1:B16384"/>
    </sheetView>
  </sheetViews>
  <sheetFormatPr defaultColWidth="9.140625" defaultRowHeight="15"/>
  <cols>
    <col min="1" max="1" width="77.7109375" style="1" customWidth="1"/>
    <col min="2" max="2" width="14.57421875" style="16" customWidth="1"/>
    <col min="3" max="3" width="14.7109375" style="16" customWidth="1"/>
    <col min="4" max="4" width="15.57421875" style="6" customWidth="1"/>
    <col min="5" max="5" width="12.421875" style="6" customWidth="1"/>
    <col min="6" max="6" width="13.57421875" style="6" customWidth="1"/>
    <col min="7" max="7" width="12.57421875" style="1" bestFit="1" customWidth="1"/>
    <col min="8" max="8" width="9.140625" style="1" customWidth="1"/>
    <col min="9" max="9" width="16.140625" style="1" customWidth="1"/>
    <col min="10" max="16384" width="9.140625" style="1" customWidth="1"/>
  </cols>
  <sheetData>
    <row r="1" spans="1:4" ht="18.75">
      <c r="A1" s="52" t="s">
        <v>40</v>
      </c>
      <c r="B1" s="52"/>
      <c r="C1" s="52"/>
      <c r="D1" s="52"/>
    </row>
    <row r="2" spans="1:4" ht="11.25" customHeight="1">
      <c r="A2" s="2"/>
      <c r="B2" s="11"/>
      <c r="C2" s="11"/>
      <c r="D2" s="3"/>
    </row>
    <row r="3" spans="1:6" s="5" customFormat="1" ht="15" customHeight="1">
      <c r="A3" s="52" t="s">
        <v>32</v>
      </c>
      <c r="B3" s="52"/>
      <c r="C3" s="52"/>
      <c r="D3" s="52"/>
      <c r="E3" s="9"/>
      <c r="F3" s="9"/>
    </row>
    <row r="4" spans="1:4" ht="11.25" customHeight="1">
      <c r="A4" s="53"/>
      <c r="B4" s="53"/>
      <c r="C4" s="53"/>
      <c r="D4" s="53"/>
    </row>
    <row r="5" spans="1:4" ht="15">
      <c r="A5" s="4"/>
      <c r="B5" s="12"/>
      <c r="C5" s="12"/>
      <c r="D5" s="39" t="s">
        <v>0</v>
      </c>
    </row>
    <row r="6" spans="1:6" s="5" customFormat="1" ht="69" customHeight="1">
      <c r="A6" s="31" t="s">
        <v>1</v>
      </c>
      <c r="B6" s="32" t="s">
        <v>35</v>
      </c>
      <c r="C6" s="40" t="s">
        <v>28</v>
      </c>
      <c r="D6" s="40" t="s">
        <v>39</v>
      </c>
      <c r="E6" s="9"/>
      <c r="F6" s="9"/>
    </row>
    <row r="7" spans="1:4" ht="15">
      <c r="A7" s="17" t="s">
        <v>18</v>
      </c>
      <c r="B7" s="30">
        <v>150713.15</v>
      </c>
      <c r="C7" s="30">
        <v>359604.74</v>
      </c>
      <c r="D7" s="22">
        <v>359604.74</v>
      </c>
    </row>
    <row r="8" spans="1:4" ht="15">
      <c r="A8" s="19" t="s">
        <v>15</v>
      </c>
      <c r="B8" s="36"/>
      <c r="C8" s="36"/>
      <c r="D8" s="20"/>
    </row>
    <row r="9" spans="1:4" ht="15">
      <c r="A9" s="17" t="s">
        <v>11</v>
      </c>
      <c r="B9" s="30">
        <v>12732.04</v>
      </c>
      <c r="C9" s="37">
        <f>B9/4</f>
        <v>3183.01</v>
      </c>
      <c r="D9" s="18">
        <v>0</v>
      </c>
    </row>
    <row r="10" spans="1:6" ht="15">
      <c r="A10" s="17" t="s">
        <v>12</v>
      </c>
      <c r="B10" s="30">
        <f>2812042.89</f>
        <v>2812042.89</v>
      </c>
      <c r="C10" s="37">
        <f>B10/4</f>
        <v>703010.7225</v>
      </c>
      <c r="D10" s="18">
        <f>727276.09-15123.51</f>
        <v>712152.58</v>
      </c>
      <c r="E10" s="34"/>
      <c r="F10" s="34"/>
    </row>
    <row r="11" spans="1:6" ht="15">
      <c r="A11" s="17" t="s">
        <v>4</v>
      </c>
      <c r="B11" s="30">
        <v>80500</v>
      </c>
      <c r="C11" s="37">
        <f>B11/4</f>
        <v>20125</v>
      </c>
      <c r="D11" s="24">
        <v>5221.5</v>
      </c>
      <c r="E11" s="34"/>
      <c r="F11" s="34"/>
    </row>
    <row r="12" spans="1:6" ht="15">
      <c r="A12" s="19" t="s">
        <v>14</v>
      </c>
      <c r="B12" s="36">
        <f>SUM(B9:B11)</f>
        <v>2905274.93</v>
      </c>
      <c r="C12" s="36">
        <f>SUM(C9:C11)</f>
        <v>726318.7325</v>
      </c>
      <c r="D12" s="20">
        <f>SUM(D9:D11)</f>
        <v>717374.08</v>
      </c>
      <c r="E12" s="34"/>
      <c r="F12" s="34"/>
    </row>
    <row r="13" spans="1:6" ht="15">
      <c r="A13" s="17"/>
      <c r="B13" s="22"/>
      <c r="C13" s="37"/>
      <c r="D13" s="22"/>
      <c r="E13" s="34"/>
      <c r="F13" s="34"/>
    </row>
    <row r="14" spans="1:6" ht="28.5">
      <c r="A14" s="19" t="s">
        <v>16</v>
      </c>
      <c r="B14" s="20"/>
      <c r="C14" s="26" t="s">
        <v>13</v>
      </c>
      <c r="D14" s="26" t="s">
        <v>13</v>
      </c>
      <c r="E14" s="34"/>
      <c r="F14" s="34"/>
    </row>
    <row r="15" spans="1:15" s="27" customFormat="1" ht="15">
      <c r="A15" s="17" t="s">
        <v>6</v>
      </c>
      <c r="B15" s="21">
        <v>1700500</v>
      </c>
      <c r="C15" s="37">
        <f>B15/4</f>
        <v>425125</v>
      </c>
      <c r="D15" s="22">
        <f>324132.1-6.75-33.79</f>
        <v>324091.56</v>
      </c>
      <c r="E15" s="34"/>
      <c r="F15" s="28"/>
      <c r="G15" s="29"/>
      <c r="H15" s="29"/>
      <c r="I15" s="29"/>
      <c r="J15" s="29"/>
      <c r="K15" s="29"/>
      <c r="L15" s="29"/>
      <c r="M15" s="29"/>
      <c r="N15" s="29"/>
      <c r="O15" s="29"/>
    </row>
    <row r="16" spans="1:6" ht="16.5" customHeight="1">
      <c r="A16" s="17" t="s">
        <v>10</v>
      </c>
      <c r="B16" s="21">
        <f>91827+53565.75</f>
        <v>145392.75</v>
      </c>
      <c r="C16" s="37">
        <f aca="true" t="shared" si="0" ref="C16:C36">B16/4</f>
        <v>36348.1875</v>
      </c>
      <c r="D16" s="22">
        <f>11860.93+5881.09</f>
        <v>17742.02</v>
      </c>
      <c r="E16" s="34"/>
      <c r="F16" s="34"/>
    </row>
    <row r="17" spans="1:6" ht="21" customHeight="1">
      <c r="A17" s="17" t="s">
        <v>8</v>
      </c>
      <c r="B17" s="21">
        <v>51015</v>
      </c>
      <c r="C17" s="37">
        <f t="shared" si="0"/>
        <v>12753.75</v>
      </c>
      <c r="D17" s="22">
        <f>5590-10.13</f>
        <v>5579.87</v>
      </c>
      <c r="E17" s="34"/>
      <c r="F17" s="34"/>
    </row>
    <row r="18" spans="1:6" ht="15">
      <c r="A18" s="17" t="s">
        <v>26</v>
      </c>
      <c r="B18" s="21">
        <v>1500</v>
      </c>
      <c r="C18" s="37">
        <f t="shared" si="0"/>
        <v>375</v>
      </c>
      <c r="D18" s="22">
        <v>263.22</v>
      </c>
      <c r="E18" s="34"/>
      <c r="F18" s="34"/>
    </row>
    <row r="19" spans="1:9" ht="15">
      <c r="A19" s="17" t="s">
        <v>30</v>
      </c>
      <c r="B19" s="21">
        <f>20.74+612.27+50+17</f>
        <v>700.01</v>
      </c>
      <c r="C19" s="37">
        <f>B19</f>
        <v>700.01</v>
      </c>
      <c r="D19" s="22">
        <f>20.74+1245.14</f>
        <v>1265.88</v>
      </c>
      <c r="E19" s="34"/>
      <c r="F19" s="34"/>
      <c r="I19" s="6"/>
    </row>
    <row r="20" spans="1:9" ht="15" customHeight="1">
      <c r="A20" s="17" t="s">
        <v>27</v>
      </c>
      <c r="B20" s="21">
        <v>7829.11</v>
      </c>
      <c r="C20" s="37">
        <f t="shared" si="0"/>
        <v>1957.2775</v>
      </c>
      <c r="D20" s="21">
        <v>0</v>
      </c>
      <c r="E20" s="34"/>
      <c r="F20" s="34"/>
      <c r="I20" s="6"/>
    </row>
    <row r="21" spans="1:9" ht="15">
      <c r="A21" s="17" t="s">
        <v>7</v>
      </c>
      <c r="B21" s="21">
        <v>25000</v>
      </c>
      <c r="C21" s="37">
        <f t="shared" si="0"/>
        <v>6250</v>
      </c>
      <c r="D21" s="22">
        <v>6817.4</v>
      </c>
      <c r="E21" s="34"/>
      <c r="F21" s="34"/>
      <c r="I21" s="6"/>
    </row>
    <row r="22" spans="1:9" ht="15">
      <c r="A22" s="17" t="s">
        <v>3</v>
      </c>
      <c r="B22" s="21">
        <v>2450</v>
      </c>
      <c r="C22" s="37">
        <f>B22/2</f>
        <v>1225</v>
      </c>
      <c r="D22" s="18">
        <v>1206.79</v>
      </c>
      <c r="E22" s="34"/>
      <c r="F22" s="34"/>
      <c r="I22" s="6"/>
    </row>
    <row r="23" spans="1:9" ht="15">
      <c r="A23" s="17" t="s">
        <v>9</v>
      </c>
      <c r="B23" s="21">
        <v>284170.54</v>
      </c>
      <c r="C23" s="37">
        <f t="shared" si="0"/>
        <v>71042.635</v>
      </c>
      <c r="D23" s="22">
        <f>19960.26</f>
        <v>19960.26</v>
      </c>
      <c r="E23" s="34"/>
      <c r="F23" s="34"/>
      <c r="I23" s="6"/>
    </row>
    <row r="24" spans="1:9" ht="18" customHeight="1">
      <c r="A24" s="17" t="s">
        <v>29</v>
      </c>
      <c r="B24" s="21">
        <v>0</v>
      </c>
      <c r="C24" s="37">
        <f>B24/4*2</f>
        <v>0</v>
      </c>
      <c r="D24" s="24">
        <v>0</v>
      </c>
      <c r="E24" s="34"/>
      <c r="F24" s="34"/>
      <c r="I24" s="6"/>
    </row>
    <row r="25" spans="1:9" ht="15">
      <c r="A25" s="17" t="s">
        <v>34</v>
      </c>
      <c r="B25" s="21">
        <v>9682.38</v>
      </c>
      <c r="C25" s="37">
        <f t="shared" si="0"/>
        <v>2420.595</v>
      </c>
      <c r="D25" s="22">
        <v>1749.5</v>
      </c>
      <c r="E25" s="34"/>
      <c r="F25" s="34"/>
      <c r="I25" s="6"/>
    </row>
    <row r="26" spans="1:9" ht="20.25" customHeight="1">
      <c r="A26" s="46" t="s">
        <v>38</v>
      </c>
      <c r="B26" s="46">
        <v>23205.96</v>
      </c>
      <c r="C26" s="37">
        <f t="shared" si="0"/>
        <v>5801.49</v>
      </c>
      <c r="D26" s="22">
        <v>0</v>
      </c>
      <c r="I26" s="6"/>
    </row>
    <row r="27" spans="1:7" ht="21.75" customHeight="1">
      <c r="A27" s="19" t="s">
        <v>20</v>
      </c>
      <c r="B27" s="33">
        <f>B28+B29+B30+B31+B32</f>
        <v>18685.18</v>
      </c>
      <c r="C27" s="36">
        <f t="shared" si="0"/>
        <v>4671.295</v>
      </c>
      <c r="D27" s="33">
        <v>3764.67</v>
      </c>
      <c r="E27" s="9"/>
      <c r="G27" s="6"/>
    </row>
    <row r="28" spans="1:7" ht="15">
      <c r="A28" s="23" t="s">
        <v>21</v>
      </c>
      <c r="B28" s="38">
        <v>3485.1</v>
      </c>
      <c r="C28" s="37">
        <f t="shared" si="0"/>
        <v>871.275</v>
      </c>
      <c r="D28" s="22">
        <v>13</v>
      </c>
      <c r="G28" s="44"/>
    </row>
    <row r="29" spans="1:8" ht="15">
      <c r="A29" s="23" t="s">
        <v>22</v>
      </c>
      <c r="B29" s="38">
        <v>5277.77</v>
      </c>
      <c r="C29" s="37">
        <f t="shared" si="0"/>
        <v>1319.4425</v>
      </c>
      <c r="D29" s="22">
        <v>0</v>
      </c>
      <c r="G29" s="44"/>
      <c r="H29" s="10"/>
    </row>
    <row r="30" spans="1:7" ht="15">
      <c r="A30" s="23" t="s">
        <v>23</v>
      </c>
      <c r="B30" s="38">
        <v>792</v>
      </c>
      <c r="C30" s="37">
        <f>B30</f>
        <v>792</v>
      </c>
      <c r="D30" s="22">
        <v>682.26</v>
      </c>
      <c r="G30" s="44"/>
    </row>
    <row r="31" spans="1:7" ht="15">
      <c r="A31" s="23" t="s">
        <v>24</v>
      </c>
      <c r="B31" s="38">
        <v>2109.16</v>
      </c>
      <c r="C31" s="37">
        <f t="shared" si="0"/>
        <v>527.29</v>
      </c>
      <c r="D31" s="22">
        <f>84.42+160.92</f>
        <v>245.33999999999997</v>
      </c>
      <c r="G31" s="44"/>
    </row>
    <row r="32" spans="1:7" ht="15">
      <c r="A32" s="23" t="s">
        <v>25</v>
      </c>
      <c r="B32" s="21">
        <f>1606.15+2655+2760</f>
        <v>7021.15</v>
      </c>
      <c r="C32" s="37">
        <f>B32/2</f>
        <v>3510.575</v>
      </c>
      <c r="D32" s="24">
        <f>2759.9+64.17</f>
        <v>2824.07</v>
      </c>
      <c r="G32" s="44"/>
    </row>
    <row r="33" spans="1:8" ht="15">
      <c r="A33" s="17" t="s">
        <v>2</v>
      </c>
      <c r="B33" s="21">
        <v>8500</v>
      </c>
      <c r="C33" s="37">
        <f t="shared" si="0"/>
        <v>2125</v>
      </c>
      <c r="D33" s="22">
        <v>350</v>
      </c>
      <c r="E33" s="9"/>
      <c r="F33" s="9"/>
      <c r="G33" s="44"/>
      <c r="H33" s="6"/>
    </row>
    <row r="34" spans="1:4" ht="66" customHeight="1">
      <c r="A34" s="17" t="s">
        <v>37</v>
      </c>
      <c r="B34" s="21">
        <f>615817.14-B33-B20+52077.75-2760</f>
        <v>648805.78</v>
      </c>
      <c r="C34" s="37">
        <f>B34/4-1137.52</f>
        <v>161063.92500000002</v>
      </c>
      <c r="D34" s="25">
        <f>73554.55+55-332.1-350</f>
        <v>72927.45</v>
      </c>
    </row>
    <row r="35" spans="1:4" ht="16.5" customHeight="1">
      <c r="A35" s="17" t="s">
        <v>36</v>
      </c>
      <c r="B35" s="21">
        <v>400</v>
      </c>
      <c r="C35" s="37">
        <f t="shared" si="0"/>
        <v>100</v>
      </c>
      <c r="D35" s="25">
        <v>0</v>
      </c>
    </row>
    <row r="36" spans="1:4" ht="15">
      <c r="A36" s="17" t="s">
        <v>33</v>
      </c>
      <c r="B36" s="22"/>
      <c r="C36" s="37">
        <f t="shared" si="0"/>
        <v>0</v>
      </c>
      <c r="D36" s="25">
        <v>0</v>
      </c>
    </row>
    <row r="37" spans="1:4" ht="15">
      <c r="A37" s="19" t="s">
        <v>17</v>
      </c>
      <c r="B37" s="20">
        <f>B15+B16+B17+B18+B19+B20+B21+B22+B23+B24+B25+B27+B33+B34+B36</f>
        <v>2904230.75</v>
      </c>
      <c r="C37" s="20">
        <f>C15+C16+C17+C18+C19+C20+C21+C22+C23+C24+C25+C27+C33+C34+C36</f>
        <v>726057.675</v>
      </c>
      <c r="D37" s="20">
        <f>D15+D16+D17+D18+D19+D20+D21+D22+D23+D24+D25+D26+D27+D33+D34+D35+D36</f>
        <v>455718.62</v>
      </c>
    </row>
    <row r="38" spans="1:7" ht="15">
      <c r="A38" s="17" t="s">
        <v>19</v>
      </c>
      <c r="B38" s="22">
        <f>B7+B12-B37</f>
        <v>151757.33000000007</v>
      </c>
      <c r="C38" s="22"/>
      <c r="D38" s="22">
        <f>D7+D12-D37</f>
        <v>621260.1999999998</v>
      </c>
      <c r="G38" s="6"/>
    </row>
    <row r="39" spans="1:4" ht="15">
      <c r="A39" s="7"/>
      <c r="B39" s="13"/>
      <c r="C39" s="45"/>
      <c r="D39" s="35"/>
    </row>
    <row r="40" spans="1:4" ht="15">
      <c r="A40" s="7"/>
      <c r="B40" s="13"/>
      <c r="C40" s="41"/>
      <c r="D40" s="35"/>
    </row>
    <row r="41" spans="1:4" ht="18.75" customHeight="1">
      <c r="A41" s="8" t="s">
        <v>41</v>
      </c>
      <c r="B41" s="14"/>
      <c r="C41" s="54" t="s">
        <v>42</v>
      </c>
      <c r="D41" s="54"/>
    </row>
    <row r="42" spans="1:4" ht="22.5" customHeight="1">
      <c r="A42" s="8"/>
      <c r="B42" s="14"/>
      <c r="C42" s="42"/>
      <c r="D42" s="43"/>
    </row>
    <row r="43" spans="1:4" ht="17.25" customHeight="1">
      <c r="A43" s="8" t="s">
        <v>5</v>
      </c>
      <c r="B43" s="14"/>
      <c r="C43" s="55" t="s">
        <v>31</v>
      </c>
      <c r="D43" s="55"/>
    </row>
    <row r="44" spans="1:4" ht="15">
      <c r="A44" s="5"/>
      <c r="B44" s="15"/>
      <c r="C44" s="15"/>
      <c r="D44" s="9"/>
    </row>
    <row r="45" spans="1:4" ht="15">
      <c r="A45" s="5"/>
      <c r="B45" s="15"/>
      <c r="C45" s="15"/>
      <c r="D45" s="9"/>
    </row>
    <row r="46" spans="1:4" ht="15">
      <c r="A46" s="5"/>
      <c r="B46" s="15"/>
      <c r="C46" s="15"/>
      <c r="D46" s="9"/>
    </row>
    <row r="47" spans="1:15" s="6" customFormat="1" ht="15">
      <c r="A47" s="5"/>
      <c r="B47" s="15"/>
      <c r="C47" s="15"/>
      <c r="D47" s="9"/>
      <c r="G47" s="1"/>
      <c r="H47" s="1"/>
      <c r="I47" s="1"/>
      <c r="J47" s="1"/>
      <c r="K47" s="1"/>
      <c r="L47" s="1"/>
      <c r="M47" s="1"/>
      <c r="N47" s="1"/>
      <c r="O47" s="1"/>
    </row>
    <row r="48" spans="1:15" s="6" customFormat="1" ht="15">
      <c r="A48" s="5"/>
      <c r="B48" s="15"/>
      <c r="C48" s="15"/>
      <c r="D48" s="9"/>
      <c r="G48" s="1"/>
      <c r="H48" s="1"/>
      <c r="I48" s="1"/>
      <c r="J48" s="1"/>
      <c r="K48" s="1"/>
      <c r="L48" s="1"/>
      <c r="M48" s="1"/>
      <c r="N48" s="1"/>
      <c r="O48" s="1"/>
    </row>
    <row r="49" spans="1:15" s="6" customFormat="1" ht="15">
      <c r="A49" s="5"/>
      <c r="B49" s="15"/>
      <c r="C49" s="15"/>
      <c r="D49" s="9"/>
      <c r="G49" s="1"/>
      <c r="H49" s="1"/>
      <c r="I49" s="1"/>
      <c r="J49" s="1"/>
      <c r="K49" s="1"/>
      <c r="L49" s="1"/>
      <c r="M49" s="1"/>
      <c r="N49" s="1"/>
      <c r="O49" s="1"/>
    </row>
  </sheetData>
  <sheetProtection/>
  <mergeCells count="5">
    <mergeCell ref="A1:D1"/>
    <mergeCell ref="A3:D3"/>
    <mergeCell ref="A4:D4"/>
    <mergeCell ref="C41:D41"/>
    <mergeCell ref="C43:D43"/>
  </mergeCells>
  <printOptions/>
  <pageMargins left="0.8267716535433072" right="0.1968503937007874" top="0.5118110236220472" bottom="0.15748031496062992" header="0.11811023622047245" footer="0"/>
  <pageSetup horizontalDpi="600" verticalDpi="600" orientation="portrait" paperSize="9" scale="90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O49"/>
  <sheetViews>
    <sheetView tabSelected="1" zoomScalePageLayoutView="0" workbookViewId="0" topLeftCell="A1">
      <selection activeCell="F25" sqref="F25"/>
    </sheetView>
  </sheetViews>
  <sheetFormatPr defaultColWidth="9.140625" defaultRowHeight="15"/>
  <cols>
    <col min="1" max="1" width="66.140625" style="1" customWidth="1"/>
    <col min="2" max="2" width="14.57421875" style="16" hidden="1" customWidth="1"/>
    <col min="3" max="3" width="14.7109375" style="16" customWidth="1"/>
    <col min="4" max="4" width="15.57421875" style="6" customWidth="1"/>
    <col min="5" max="5" width="12.421875" style="34" customWidth="1"/>
    <col min="6" max="6" width="13.57421875" style="34" customWidth="1"/>
    <col min="7" max="7" width="12.57421875" style="27" bestFit="1" customWidth="1"/>
    <col min="8" max="8" width="9.140625" style="1" customWidth="1"/>
    <col min="9" max="9" width="16.140625" style="1" customWidth="1"/>
    <col min="10" max="16384" width="9.140625" style="1" customWidth="1"/>
  </cols>
  <sheetData>
    <row r="1" spans="1:4" ht="18.75">
      <c r="A1" s="52" t="s">
        <v>43</v>
      </c>
      <c r="B1" s="52"/>
      <c r="C1" s="52"/>
      <c r="D1" s="52"/>
    </row>
    <row r="2" spans="1:4" ht="11.25" customHeight="1">
      <c r="A2" s="2"/>
      <c r="B2" s="11"/>
      <c r="C2" s="11"/>
      <c r="D2" s="3"/>
    </row>
    <row r="3" spans="1:7" s="5" customFormat="1" ht="15" customHeight="1">
      <c r="A3" s="52" t="s">
        <v>32</v>
      </c>
      <c r="B3" s="52"/>
      <c r="C3" s="52"/>
      <c r="D3" s="52"/>
      <c r="E3" s="49"/>
      <c r="F3" s="49"/>
      <c r="G3" s="50"/>
    </row>
    <row r="4" spans="1:4" ht="11.25" customHeight="1">
      <c r="A4" s="53"/>
      <c r="B4" s="53"/>
      <c r="C4" s="53"/>
      <c r="D4" s="53"/>
    </row>
    <row r="5" spans="1:4" ht="15">
      <c r="A5" s="4"/>
      <c r="B5" s="12"/>
      <c r="C5" s="12"/>
      <c r="D5" s="39" t="s">
        <v>0</v>
      </c>
    </row>
    <row r="6" spans="1:7" s="5" customFormat="1" ht="69" customHeight="1">
      <c r="A6" s="31" t="s">
        <v>1</v>
      </c>
      <c r="B6" s="32" t="s">
        <v>35</v>
      </c>
      <c r="C6" s="40" t="s">
        <v>28</v>
      </c>
      <c r="D6" s="40" t="s">
        <v>44</v>
      </c>
      <c r="E6" s="49"/>
      <c r="F6" s="49"/>
      <c r="G6" s="50"/>
    </row>
    <row r="7" spans="1:4" ht="15">
      <c r="A7" s="17" t="s">
        <v>18</v>
      </c>
      <c r="B7" s="30">
        <v>150713.15</v>
      </c>
      <c r="C7" s="30">
        <v>359604.74</v>
      </c>
      <c r="D7" s="22">
        <v>359604.74</v>
      </c>
    </row>
    <row r="8" spans="1:4" ht="15">
      <c r="A8" s="19" t="s">
        <v>15</v>
      </c>
      <c r="B8" s="36"/>
      <c r="C8" s="36"/>
      <c r="D8" s="20"/>
    </row>
    <row r="9" spans="1:4" ht="15">
      <c r="A9" s="17" t="s">
        <v>11</v>
      </c>
      <c r="B9" s="30">
        <v>12732.04</v>
      </c>
      <c r="C9" s="37">
        <f>B9/2</f>
        <v>6366.02</v>
      </c>
      <c r="D9" s="18">
        <v>0</v>
      </c>
    </row>
    <row r="10" spans="1:4" ht="15">
      <c r="A10" s="17" t="s">
        <v>12</v>
      </c>
      <c r="B10" s="30">
        <f>2812042.89</f>
        <v>2812042.89</v>
      </c>
      <c r="C10" s="37">
        <f>B10/2</f>
        <v>1406021.445</v>
      </c>
      <c r="D10" s="18">
        <f>(561919403-15123515.92+438787795.64+33474845.25+62224377.93+115310116.7+18714161.53+6404302.71)/1000</f>
        <v>1221711.4868400001</v>
      </c>
    </row>
    <row r="11" spans="1:4" ht="15">
      <c r="A11" s="17" t="s">
        <v>4</v>
      </c>
      <c r="B11" s="30">
        <v>80500</v>
      </c>
      <c r="C11" s="37">
        <f>B11/2</f>
        <v>40250</v>
      </c>
      <c r="D11" s="24">
        <f>15093158.52/1000</f>
        <v>15093.158519999999</v>
      </c>
    </row>
    <row r="12" spans="1:4" ht="15">
      <c r="A12" s="19" t="s">
        <v>14</v>
      </c>
      <c r="B12" s="36">
        <f>SUM(B9:B11)</f>
        <v>2905274.93</v>
      </c>
      <c r="C12" s="36">
        <f>SUM(C9:C11)</f>
        <v>1452637.465</v>
      </c>
      <c r="D12" s="20">
        <f>SUM(D9:D11)</f>
        <v>1236804.6453600002</v>
      </c>
    </row>
    <row r="13" spans="1:4" ht="15">
      <c r="A13" s="17"/>
      <c r="B13" s="22"/>
      <c r="C13" s="37"/>
      <c r="D13" s="22"/>
    </row>
    <row r="14" spans="1:4" ht="28.5">
      <c r="A14" s="19" t="s">
        <v>16</v>
      </c>
      <c r="B14" s="20"/>
      <c r="C14" s="26" t="s">
        <v>13</v>
      </c>
      <c r="D14" s="26" t="s">
        <v>13</v>
      </c>
    </row>
    <row r="15" spans="1:15" s="27" customFormat="1" ht="15">
      <c r="A15" s="17" t="s">
        <v>6</v>
      </c>
      <c r="B15" s="21">
        <v>1700500</v>
      </c>
      <c r="C15" s="37">
        <f>B15/2</f>
        <v>850250</v>
      </c>
      <c r="D15" s="22">
        <f>(586905304.17+53676092.28+40475679.85+9988533+533131.5+3431341.42+3279102.63-26925-132315.25)/1000</f>
        <v>698129.9445999999</v>
      </c>
      <c r="E15" s="34"/>
      <c r="F15" s="28"/>
      <c r="G15" s="29"/>
      <c r="H15" s="29"/>
      <c r="I15" s="29"/>
      <c r="J15" s="29"/>
      <c r="K15" s="29"/>
      <c r="L15" s="29"/>
      <c r="M15" s="29"/>
      <c r="N15" s="29"/>
      <c r="O15" s="29"/>
    </row>
    <row r="16" spans="1:4" ht="16.5" customHeight="1">
      <c r="A16" s="17" t="s">
        <v>10</v>
      </c>
      <c r="B16" s="21">
        <f>91827+53565.75</f>
        <v>145392.75</v>
      </c>
      <c r="C16" s="37">
        <f>B16/2</f>
        <v>72696.375</v>
      </c>
      <c r="D16" s="22">
        <f>(32676911.11+15579680-13008)/1000</f>
        <v>48243.58311</v>
      </c>
    </row>
    <row r="17" spans="1:4" ht="21" customHeight="1">
      <c r="A17" s="17" t="s">
        <v>8</v>
      </c>
      <c r="B17" s="21">
        <v>51015</v>
      </c>
      <c r="C17" s="37">
        <f>B17/2</f>
        <v>25507.5</v>
      </c>
      <c r="D17" s="22">
        <f>(14971430-40389)/1000</f>
        <v>14931.041</v>
      </c>
    </row>
    <row r="18" spans="1:4" ht="15">
      <c r="A18" s="17" t="s">
        <v>26</v>
      </c>
      <c r="B18" s="21">
        <v>1500</v>
      </c>
      <c r="C18" s="37">
        <f>B18/2</f>
        <v>750</v>
      </c>
      <c r="D18" s="22">
        <f>642800.1/1000</f>
        <v>642.8000999999999</v>
      </c>
    </row>
    <row r="19" spans="1:9" ht="15">
      <c r="A19" s="17" t="s">
        <v>30</v>
      </c>
      <c r="B19" s="21">
        <f>20.74+612.27+50+17</f>
        <v>700.01</v>
      </c>
      <c r="C19" s="37">
        <f>B19</f>
        <v>700.01</v>
      </c>
      <c r="D19" s="22">
        <f>(1245136.75+20738+51750+350)/1000</f>
        <v>1317.97475</v>
      </c>
      <c r="I19" s="6"/>
    </row>
    <row r="20" spans="1:9" ht="15" customHeight="1">
      <c r="A20" s="17" t="s">
        <v>27</v>
      </c>
      <c r="B20" s="21">
        <v>7829.11</v>
      </c>
      <c r="C20" s="37">
        <f aca="true" t="shared" si="0" ref="C20:C26">B20/2</f>
        <v>3914.555</v>
      </c>
      <c r="D20" s="21">
        <f>2499735/1000</f>
        <v>2499.735</v>
      </c>
      <c r="I20" s="6"/>
    </row>
    <row r="21" spans="1:9" ht="15">
      <c r="A21" s="17" t="s">
        <v>7</v>
      </c>
      <c r="B21" s="21">
        <v>25000</v>
      </c>
      <c r="C21" s="37">
        <f t="shared" si="0"/>
        <v>12500</v>
      </c>
      <c r="D21" s="22">
        <f>(286114.62+7991669.59+622509.18+2413152)/1000</f>
        <v>11313.44539</v>
      </c>
      <c r="I21" s="6"/>
    </row>
    <row r="22" spans="1:9" ht="15">
      <c r="A22" s="17" t="s">
        <v>3</v>
      </c>
      <c r="B22" s="21">
        <v>2450</v>
      </c>
      <c r="C22" s="37">
        <f t="shared" si="0"/>
        <v>1225</v>
      </c>
      <c r="D22" s="18">
        <f>(1789279.04+498522.82)/1000</f>
        <v>2287.80186</v>
      </c>
      <c r="I22" s="6"/>
    </row>
    <row r="23" spans="1:9" ht="15">
      <c r="A23" s="17" t="s">
        <v>9</v>
      </c>
      <c r="B23" s="21">
        <v>284170.54</v>
      </c>
      <c r="C23" s="37">
        <f t="shared" si="0"/>
        <v>142085.27</v>
      </c>
      <c r="D23" s="22">
        <f>40809234.2/1000</f>
        <v>40809.234200000006</v>
      </c>
      <c r="G23" s="34"/>
      <c r="I23" s="6"/>
    </row>
    <row r="24" spans="1:9" ht="18" customHeight="1">
      <c r="A24" s="17" t="s">
        <v>29</v>
      </c>
      <c r="B24" s="21">
        <v>15720</v>
      </c>
      <c r="C24" s="37">
        <f t="shared" si="0"/>
        <v>7860</v>
      </c>
      <c r="D24" s="24">
        <f>(6095488-131040)/1000</f>
        <v>5964.448</v>
      </c>
      <c r="I24" s="6"/>
    </row>
    <row r="25" spans="1:9" ht="15">
      <c r="A25" s="17" t="s">
        <v>34</v>
      </c>
      <c r="B25" s="21">
        <v>9682.38</v>
      </c>
      <c r="C25" s="37">
        <f t="shared" si="0"/>
        <v>4841.19</v>
      </c>
      <c r="D25" s="22">
        <f>4023853.68/1000</f>
        <v>4023.85368</v>
      </c>
      <c r="G25" s="34"/>
      <c r="I25" s="6"/>
    </row>
    <row r="26" spans="1:9" ht="20.25" customHeight="1">
      <c r="A26" s="46" t="s">
        <v>38</v>
      </c>
      <c r="B26" s="46">
        <v>23205.96</v>
      </c>
      <c r="C26" s="37">
        <f t="shared" si="0"/>
        <v>11602.98</v>
      </c>
      <c r="D26" s="22">
        <f>63089.6/1000</f>
        <v>63.0896</v>
      </c>
      <c r="I26" s="6"/>
    </row>
    <row r="27" spans="1:7" ht="21.75" customHeight="1">
      <c r="A27" s="19" t="s">
        <v>20</v>
      </c>
      <c r="B27" s="33">
        <f>B28+B29+B30+B31+B32</f>
        <v>18685.18</v>
      </c>
      <c r="C27" s="33">
        <f>C28+C29+C30+C31+C32</f>
        <v>9342.59</v>
      </c>
      <c r="D27" s="33">
        <f>D28+D29+D30+D31+D32</f>
        <v>7863.0133399999995</v>
      </c>
      <c r="E27" s="49"/>
      <c r="G27" s="34"/>
    </row>
    <row r="28" spans="1:7" ht="15">
      <c r="A28" s="23" t="s">
        <v>21</v>
      </c>
      <c r="B28" s="38">
        <v>3485.1</v>
      </c>
      <c r="C28" s="37">
        <f aca="true" t="shared" si="1" ref="C28:C35">B28/2</f>
        <v>1742.55</v>
      </c>
      <c r="D28" s="22">
        <f>1659473/1000</f>
        <v>1659.473</v>
      </c>
      <c r="G28" s="51"/>
    </row>
    <row r="29" spans="1:8" ht="15">
      <c r="A29" s="23" t="s">
        <v>22</v>
      </c>
      <c r="B29" s="38">
        <v>5277.77</v>
      </c>
      <c r="C29" s="37">
        <f>B29/2-1500</f>
        <v>1138.8850000000002</v>
      </c>
      <c r="D29" s="22">
        <f>342572.78/1000</f>
        <v>342.57278</v>
      </c>
      <c r="G29" s="51"/>
      <c r="H29" s="10"/>
    </row>
    <row r="30" spans="1:7" ht="15">
      <c r="A30" s="23" t="s">
        <v>23</v>
      </c>
      <c r="B30" s="38">
        <v>792</v>
      </c>
      <c r="C30" s="37">
        <f t="shared" si="1"/>
        <v>396</v>
      </c>
      <c r="D30" s="22">
        <f>383040/1000</f>
        <v>383.04</v>
      </c>
      <c r="G30" s="51"/>
    </row>
    <row r="31" spans="1:7" ht="15">
      <c r="A31" s="23" t="s">
        <v>24</v>
      </c>
      <c r="B31" s="38">
        <v>2109.16</v>
      </c>
      <c r="C31" s="37">
        <f>B31/2-500</f>
        <v>554.5799999999999</v>
      </c>
      <c r="D31" s="22">
        <f>261721.2/1000</f>
        <v>261.7212</v>
      </c>
      <c r="G31" s="51"/>
    </row>
    <row r="32" spans="1:7" ht="15">
      <c r="A32" s="23" t="s">
        <v>25</v>
      </c>
      <c r="B32" s="21">
        <f>1606.15+2655+2760</f>
        <v>7021.15</v>
      </c>
      <c r="C32" s="37">
        <f>B32/2+1500+500</f>
        <v>5510.575</v>
      </c>
      <c r="D32" s="24">
        <f>(3161240.44+4701772.9)/1000-(D28+D29+D30+D31)</f>
        <v>5216.20636</v>
      </c>
      <c r="G32" s="51"/>
    </row>
    <row r="33" spans="1:8" ht="15">
      <c r="A33" s="17" t="s">
        <v>2</v>
      </c>
      <c r="B33" s="21">
        <v>8500</v>
      </c>
      <c r="C33" s="37">
        <f t="shared" si="1"/>
        <v>4250</v>
      </c>
      <c r="D33" s="22">
        <f>955000/1000</f>
        <v>955</v>
      </c>
      <c r="E33" s="49"/>
      <c r="F33" s="49"/>
      <c r="G33" s="51"/>
      <c r="H33" s="6"/>
    </row>
    <row r="34" spans="1:4" ht="66" customHeight="1">
      <c r="A34" s="17" t="s">
        <v>37</v>
      </c>
      <c r="B34" s="21">
        <f>615817.14-B33-B20+52077.75-2760</f>
        <v>648805.78</v>
      </c>
      <c r="C34" s="37">
        <f t="shared" si="1"/>
        <v>324402.89</v>
      </c>
      <c r="D34" s="25">
        <v>196816.95</v>
      </c>
    </row>
    <row r="35" spans="1:4" ht="16.5" customHeight="1">
      <c r="A35" s="17" t="s">
        <v>36</v>
      </c>
      <c r="B35" s="21">
        <v>400</v>
      </c>
      <c r="C35" s="37">
        <f t="shared" si="1"/>
        <v>200</v>
      </c>
      <c r="D35" s="25">
        <f>1544484/1000</f>
        <v>1544.484</v>
      </c>
    </row>
    <row r="36" spans="1:4" ht="15">
      <c r="A36" s="17" t="s">
        <v>33</v>
      </c>
      <c r="B36" s="22"/>
      <c r="C36" s="37"/>
      <c r="D36" s="25">
        <f>4053227.84/1000</f>
        <v>4053.22784</v>
      </c>
    </row>
    <row r="37" spans="1:4" ht="15">
      <c r="A37" s="19" t="s">
        <v>17</v>
      </c>
      <c r="B37" s="20">
        <f>B15+B16+B17+B18+B19+B20+B21+B22+B23++B25+B27+B33+B34+B36</f>
        <v>2904230.75</v>
      </c>
      <c r="C37" s="20">
        <f>C15+C16+C17+C18+C19+C20+C21+C22+C23++C25+C27+C33+C34+C36</f>
        <v>1452465.38</v>
      </c>
      <c r="D37" s="20">
        <f>D15+D16+D17+D18+D19+D20+D21+D22+D23+D24+D25+D26+D27+D33+D34+D35+D36</f>
        <v>1041459.6264699998</v>
      </c>
    </row>
    <row r="38" spans="1:7" ht="15">
      <c r="A38" s="17" t="s">
        <v>19</v>
      </c>
      <c r="B38" s="22">
        <f>B7+B12-B37</f>
        <v>151757.33000000007</v>
      </c>
      <c r="C38" s="22"/>
      <c r="D38" s="22">
        <f>D7+D12-D37</f>
        <v>554949.7588900004</v>
      </c>
      <c r="G38" s="34"/>
    </row>
    <row r="39" spans="1:4" ht="15">
      <c r="A39" s="7"/>
      <c r="B39" s="13"/>
      <c r="C39" s="45"/>
      <c r="D39" s="35"/>
    </row>
    <row r="40" spans="1:4" ht="15">
      <c r="A40" s="7"/>
      <c r="B40" s="13"/>
      <c r="C40" s="41"/>
      <c r="D40" s="35"/>
    </row>
    <row r="41" spans="1:4" ht="18.75" customHeight="1">
      <c r="A41" s="8" t="s">
        <v>45</v>
      </c>
      <c r="B41" s="48"/>
      <c r="C41" s="54" t="s">
        <v>46</v>
      </c>
      <c r="D41" s="54"/>
    </row>
    <row r="42" spans="1:4" ht="22.5" customHeight="1">
      <c r="A42" s="8"/>
      <c r="B42" s="48"/>
      <c r="C42" s="47"/>
      <c r="D42" s="43"/>
    </row>
    <row r="43" spans="1:4" ht="17.25" customHeight="1">
      <c r="A43" s="8" t="s">
        <v>5</v>
      </c>
      <c r="B43" s="48"/>
      <c r="C43" s="55" t="s">
        <v>31</v>
      </c>
      <c r="D43" s="55"/>
    </row>
    <row r="44" spans="1:4" ht="15">
      <c r="A44" s="5"/>
      <c r="B44" s="15"/>
      <c r="C44" s="15"/>
      <c r="D44" s="9"/>
    </row>
    <row r="45" spans="1:4" ht="15">
      <c r="A45" s="5"/>
      <c r="B45" s="15"/>
      <c r="C45" s="15"/>
      <c r="D45" s="9"/>
    </row>
    <row r="46" spans="1:4" ht="15">
      <c r="A46" s="5"/>
      <c r="B46" s="15"/>
      <c r="C46" s="15"/>
      <c r="D46" s="9"/>
    </row>
    <row r="47" spans="1:15" s="6" customFormat="1" ht="15">
      <c r="A47" s="5"/>
      <c r="B47" s="15"/>
      <c r="C47" s="15"/>
      <c r="D47" s="9"/>
      <c r="E47" s="34"/>
      <c r="F47" s="34"/>
      <c r="G47" s="27"/>
      <c r="H47" s="1"/>
      <c r="I47" s="1"/>
      <c r="J47" s="1"/>
      <c r="K47" s="1"/>
      <c r="L47" s="1"/>
      <c r="M47" s="1"/>
      <c r="N47" s="1"/>
      <c r="O47" s="1"/>
    </row>
    <row r="48" spans="1:15" s="6" customFormat="1" ht="15">
      <c r="A48" s="5"/>
      <c r="B48" s="15"/>
      <c r="C48" s="15"/>
      <c r="D48" s="9"/>
      <c r="E48" s="34"/>
      <c r="F48" s="34"/>
      <c r="G48" s="27"/>
      <c r="H48" s="1"/>
      <c r="I48" s="1"/>
      <c r="J48" s="1"/>
      <c r="K48" s="1"/>
      <c r="L48" s="1"/>
      <c r="M48" s="1"/>
      <c r="N48" s="1"/>
      <c r="O48" s="1"/>
    </row>
    <row r="49" spans="1:15" s="6" customFormat="1" ht="15">
      <c r="A49" s="5"/>
      <c r="B49" s="15"/>
      <c r="C49" s="15"/>
      <c r="D49" s="9"/>
      <c r="E49" s="34"/>
      <c r="F49" s="34"/>
      <c r="G49" s="27"/>
      <c r="H49" s="1"/>
      <c r="I49" s="1"/>
      <c r="J49" s="1"/>
      <c r="K49" s="1"/>
      <c r="L49" s="1"/>
      <c r="M49" s="1"/>
      <c r="N49" s="1"/>
      <c r="O49" s="1"/>
    </row>
  </sheetData>
  <sheetProtection/>
  <mergeCells count="5">
    <mergeCell ref="A1:D1"/>
    <mergeCell ref="A3:D3"/>
    <mergeCell ref="A4:D4"/>
    <mergeCell ref="C41:D41"/>
    <mergeCell ref="C43:D43"/>
  </mergeCells>
  <printOptions/>
  <pageMargins left="0.8267716535433072" right="0.1968503937007874" top="0.5118110236220472" bottom="0.15748031496062992" header="0.11811023622047245" footer="0"/>
  <pageSetup horizontalDpi="600" verticalDpi="600" orientation="portrait" paperSize="9" scale="90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ekonom316</cp:lastModifiedBy>
  <cp:lastPrinted>2023-07-05T05:12:18Z</cp:lastPrinted>
  <dcterms:created xsi:type="dcterms:W3CDTF">2015-09-30T11:21:26Z</dcterms:created>
  <dcterms:modified xsi:type="dcterms:W3CDTF">2023-07-05T05:17:28Z</dcterms:modified>
  <cp:category/>
  <cp:version/>
  <cp:contentType/>
  <cp:contentStatus/>
</cp:coreProperties>
</file>